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ЕСЭ-ГГ_Братск\ОППР\Объекты ремонта\2023\2023 Ремонт САНИТАРНО-БЫТОВЫХ  помещений БрГЭС\ВОР exсel\"/>
    </mc:Choice>
  </mc:AlternateContent>
  <bookViews>
    <workbookView xWindow="0" yWindow="0" windowWidth="24945" windowHeight="10920"/>
  </bookViews>
  <sheets>
    <sheet name="ДВ" sheetId="2" r:id="rId1"/>
    <sheet name="маршрут на полигон отходов" sheetId="4" r:id="rId2"/>
    <sheet name="Лист1" sheetId="3" r:id="rId3"/>
  </sheets>
  <definedNames>
    <definedName name="_xlnm._FilterDatabase" localSheetId="0" hidden="1">ДВ!$B$18:$M$70</definedName>
    <definedName name="_xlnm.Print_Titles" localSheetId="0">ДВ!$18:$18</definedName>
    <definedName name="_xlnm.Print_Area" localSheetId="0">ДВ!$A$1:$M$80</definedName>
  </definedNames>
  <calcPr calcId="162913"/>
</workbook>
</file>

<file path=xl/calcChain.xml><?xml version="1.0" encoding="utf-8"?>
<calcChain xmlns="http://schemas.openxmlformats.org/spreadsheetml/2006/main">
  <c r="L36" i="2" l="1"/>
  <c r="L29" i="2"/>
  <c r="H20" i="2" l="1"/>
  <c r="F11" i="3"/>
  <c r="F9" i="3"/>
  <c r="F8" i="3"/>
  <c r="F7" i="3"/>
  <c r="F6" i="3"/>
  <c r="F5" i="3"/>
  <c r="C4" i="3"/>
  <c r="F4" i="3" s="1"/>
  <c r="F3" i="3"/>
  <c r="F1" i="3"/>
  <c r="C1" i="3"/>
  <c r="L57" i="2"/>
  <c r="E55" i="2"/>
  <c r="E54" i="2"/>
  <c r="H54" i="2" s="1"/>
  <c r="E68" i="2" s="1"/>
  <c r="E53" i="2"/>
  <c r="E51" i="2"/>
  <c r="L50" i="2"/>
  <c r="E36" i="2"/>
  <c r="E42" i="2"/>
  <c r="E41" i="2"/>
  <c r="C6" i="3" l="1"/>
  <c r="F10" i="3" s="1"/>
  <c r="L34" i="2" l="1"/>
  <c r="L33" i="2"/>
  <c r="L32" i="2"/>
  <c r="E32" i="2" l="1"/>
  <c r="L28" i="2" l="1"/>
  <c r="E27" i="2"/>
  <c r="E26" i="2"/>
  <c r="E25" i="2"/>
  <c r="E22" i="2"/>
  <c r="E21" i="2"/>
  <c r="L21" i="2" s="1"/>
  <c r="L63" i="2" l="1"/>
  <c r="L59" i="2" l="1"/>
  <c r="L60" i="2"/>
  <c r="L61" i="2"/>
  <c r="L62" i="2"/>
  <c r="L65" i="2"/>
  <c r="E58" i="2"/>
  <c r="E60" i="2" s="1"/>
  <c r="L64" i="2" s="1"/>
  <c r="L58" i="2" l="1"/>
  <c r="L22" i="2" l="1"/>
  <c r="E23" i="2"/>
  <c r="L23" i="2" s="1"/>
  <c r="E69" i="2" l="1"/>
</calcChain>
</file>

<file path=xl/sharedStrings.xml><?xml version="1.0" encoding="utf-8"?>
<sst xmlns="http://schemas.openxmlformats.org/spreadsheetml/2006/main" count="248" uniqueCount="119">
  <si>
    <t>Наименование</t>
  </si>
  <si>
    <t>Ед. изм.</t>
  </si>
  <si>
    <t>м3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</si>
  <si>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</si>
  <si>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</si>
  <si>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</si>
  <si>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</si>
  <si>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</si>
  <si>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</si>
  <si>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(Заменённые и Добавленные)</t>
  </si>
  <si>
    <t>Кол-во</t>
  </si>
  <si>
    <t>Использование (лом, утиль, мусор, реализация, повторное исп.)</t>
  </si>
  <si>
    <t>О.И. Тонких</t>
  </si>
  <si>
    <t>Поставка (заказчик/ Подрядчик)</t>
  </si>
  <si>
    <t>филиал ООО"ЕвроСибЭнерго-Гидрогенерация" "Братская ГЭС"</t>
  </si>
  <si>
    <t>мусор</t>
  </si>
  <si>
    <t>т</t>
  </si>
  <si>
    <t>Подрядчик</t>
  </si>
  <si>
    <t>А.А. Логинов</t>
  </si>
  <si>
    <t>м2</t>
  </si>
  <si>
    <t>шт.</t>
  </si>
  <si>
    <t xml:space="preserve">Главный инженер    </t>
  </si>
  <si>
    <t xml:space="preserve">______________А.В. Боярский   </t>
  </si>
  <si>
    <t xml:space="preserve">филиала ООО"ЕвроСибЭнерго-Гидрогенерация" "Братская ГЭС"    </t>
  </si>
  <si>
    <t>Раздел 1. Ремонт отмостки здания</t>
  </si>
  <si>
    <t>Устройство оснований из щебня толщиной 100мм с трамбованием под устраиваемую отмостку</t>
  </si>
  <si>
    <t xml:space="preserve">Устройство покрытия из бетона (отмостки)  М100 (В15) толщиной 100мм  </t>
  </si>
  <si>
    <t>кг</t>
  </si>
  <si>
    <t xml:space="preserve">Очистка поверхности кирпичной кладки (в районе образования трещин) металлическими щетками </t>
  </si>
  <si>
    <t>п.м.</t>
  </si>
  <si>
    <t>Гайки М16</t>
  </si>
  <si>
    <t>Кладка новых стен (из кирпича) конструкции пристройки δ= 120 мм</t>
  </si>
  <si>
    <t>Доска (сосна 2 сорта) δ= 40 мм</t>
  </si>
  <si>
    <t>Брус 100х150 мм  (сосна 2 сорта)</t>
  </si>
  <si>
    <t xml:space="preserve">Устройство деревянного покрытия пристройки </t>
  </si>
  <si>
    <t>Доска 40х200х3500 с шагом 600 - 9 шт.</t>
  </si>
  <si>
    <t>Брус 100х150х4700 - 2 шт. (в начале уклона и в конце)</t>
  </si>
  <si>
    <t>Доска (сосна 2 сорта) δ= 25 мм</t>
  </si>
  <si>
    <t>Профнастил С44</t>
  </si>
  <si>
    <t>Лист оцинкованный δ= 1,5 мм</t>
  </si>
  <si>
    <t>Устройство узла примыкания к зданию - длинной 4,7м. Оцинкованный лист - δ= 1,5х500  мм</t>
  </si>
  <si>
    <t xml:space="preserve">Армирование кладки через 4 ряда - дорожная сетка Ø3 мм, яч. 40х40 мм, Lобщ =800 мм </t>
  </si>
  <si>
    <t>Кирпич КР-р-по (КР-л-по) 25012065/1НФ/200/2,0/50/ГОСТ 530-2012</t>
  </si>
  <si>
    <t>кг/м. пог</t>
  </si>
  <si>
    <t>Вес проволоки Ø3 мм (сетка с ячейкой 40х40 мм) L=9,6 м - 11 рядов продольной и 0,10 м - 240 элементов на 1 ряд поперечных. Итого (9,6*11* 3) + (240*0,1*11) = (316,8)+(264)=580,8 м</t>
  </si>
  <si>
    <t>Установка металлической утепленной двери (2,1х0,9 м)</t>
  </si>
  <si>
    <t>Устройство деревянной стропильной кровли</t>
  </si>
  <si>
    <t>Брусок 50х50 мм (сосна 2 сорта)</t>
  </si>
  <si>
    <t xml:space="preserve">Обрешетка по кровле шаг 500 L=3,5м - 7 шт. </t>
  </si>
  <si>
    <t xml:space="preserve">Ведомость объемов работ №1 </t>
  </si>
  <si>
    <t xml:space="preserve">"___"_____________2023г.    </t>
  </si>
  <si>
    <t>Разборка существующей бетонной отмостки  с применением отбойных молотков (по периметру здания вкл. пристрой)</t>
  </si>
  <si>
    <t xml:space="preserve">Устройство гидроизоляции боковой обмазочной битумной в 2 слоя  </t>
  </si>
  <si>
    <t xml:space="preserve">Сверление перфоратором в кирпичной кладке горизонтальных отверстий глубиной 150 мм диаметром: 16 мм </t>
  </si>
  <si>
    <t xml:space="preserve">Установка  скоб в готовые отверстия </t>
  </si>
  <si>
    <t xml:space="preserve">Нарезка штрабы с помощью угловой шлифовальной машиной под установку скоб
( 10х10х500мм, шаг 300 мм) </t>
  </si>
  <si>
    <t>Ремонт трещин (в кирпичной кладке) мелкозернистой безусадочной ремонтной смесью марки не ниже М300</t>
  </si>
  <si>
    <t xml:space="preserve">м.п. </t>
  </si>
  <si>
    <r>
      <t xml:space="preserve">Арматура Ø8А240 L=0,8м </t>
    </r>
    <r>
      <rPr>
        <i/>
        <sz val="8"/>
        <rFont val="Times New Roman"/>
        <family val="1"/>
        <charset val="204"/>
      </rPr>
      <t xml:space="preserve">(500+150+150) </t>
    </r>
  </si>
  <si>
    <t xml:space="preserve">Раздел 3. Усиление опорных зон подкрановых балок </t>
  </si>
  <si>
    <t>Усиление конструктивных элементов: стен кирпичных стальными тяжами (по отчету 24-ИЦ/21-Г-ОБ.ВД дефектов 8шт)</t>
  </si>
  <si>
    <t>Швеллер №16 L=12м 4шт.</t>
  </si>
  <si>
    <t xml:space="preserve">Сталь полоса 143х54х8  (3шт. на 1 дефект)                </t>
  </si>
  <si>
    <t xml:space="preserve">Сверление перфоратором в кирпичной кладке горизонтальных отверстий глубиной 540 мм диаметром: 20 мм </t>
  </si>
  <si>
    <t>Быстротвердеющий, армированный фиброй тиксотропный цементный состав класса R4 (Е14100140003)</t>
  </si>
  <si>
    <t>Раздел 2. Ремонт трещин кирпичных стен здания</t>
  </si>
  <si>
    <t>Раздел 4. Ремонт внутренней отделки</t>
  </si>
  <si>
    <t xml:space="preserve">Ремонт (подбетонка) поверхности стен ремонтной смесью М300, вручную </t>
  </si>
  <si>
    <t>Огрунтовка перед нанесением штукатурки</t>
  </si>
  <si>
    <t>Снятие штукатурного слоя (бухтящего толщиной 20мм), до здоровой кирпичной кладки, с помощью перфораторов</t>
  </si>
  <si>
    <t xml:space="preserve">Оштукатуривание стен , слоем до 20мм, сухими смесями 
</t>
  </si>
  <si>
    <t>Краска ВД акриловая белая 15 кг (ведро) ЛЮКС (подвергается мытью) (Д30000880003)</t>
  </si>
  <si>
    <t>Эмаль ПФ-115</t>
  </si>
  <si>
    <t>м</t>
  </si>
  <si>
    <t>Ремонт и восстановление герметизации деформационного шва, вертикального</t>
  </si>
  <si>
    <t>Огнеупорная монтажная пена  типа "Penosil"</t>
  </si>
  <si>
    <t>Полиуретановый шнур "Вилатерм" 30мм</t>
  </si>
  <si>
    <t>Мастика терморасширяющаяся «МТО»</t>
  </si>
  <si>
    <t>Лист оцинкованный  300х4000 δ= 0,7 мм</t>
  </si>
  <si>
    <t>Раздел 5. Деформационный шов в осях Б/1</t>
  </si>
  <si>
    <t>Раздел 6. Плиты покрытия</t>
  </si>
  <si>
    <t>Ремонт и восстановление герметизации межпанельного шва, горизонтального</t>
  </si>
  <si>
    <t>Тиоколовая мастика  СГ-1</t>
  </si>
  <si>
    <t>Пенополиуретановый герметик   "Макрофлекс"</t>
  </si>
  <si>
    <t>Окраска ранее окрашенных поверхностей стен водоэмульсинными составами, с расчисткой старой краски до 35%, за два раза</t>
  </si>
  <si>
    <t>Окраска ранее окрашенных поверхностей стен масляной краской, с расчисткой старой краски до 35%, за два раза</t>
  </si>
  <si>
    <t>Окраска ранее окрашенных поверхностей потолков водоэмульсинными составами, с расчисткой старой краски до 35%, за два раза</t>
  </si>
  <si>
    <t>Раздел 7. Замена конструкций пристройки здания</t>
  </si>
  <si>
    <t>Демонтаж ж/б плиты покрытия δ= 0,11м 3,24х3,03</t>
  </si>
  <si>
    <t>Демонтаж бетонных стеновых панелей δ= 0,26м 3,24х2,86 h=3м</t>
  </si>
  <si>
    <r>
      <t xml:space="preserve">Уголок 63х5, L=1400
</t>
    </r>
    <r>
      <rPr>
        <i/>
        <sz val="8"/>
        <rFont val="Times New Roman"/>
        <family val="1"/>
        <charset val="204"/>
      </rPr>
      <t>(перемычка для двери)</t>
    </r>
  </si>
  <si>
    <r>
      <t xml:space="preserve">Дверь стальная утепленная. 2,1х0,9 м </t>
    </r>
    <r>
      <rPr>
        <i/>
        <sz val="8"/>
        <rFont val="Times New Roman"/>
        <family val="1"/>
        <charset val="204"/>
      </rPr>
      <t>(по проему)</t>
    </r>
  </si>
  <si>
    <t>Зашивка фронтона кровли с дух сторон пристройки, условно взято полоса шириной 3,2м и высостой 0,5 м (1,1 - коф. запаса)</t>
  </si>
  <si>
    <t>Погрузо-разгрузочные работы при автомобильных перевозках. Погрузка строительного мусора, вручную</t>
  </si>
  <si>
    <t xml:space="preserve">  Раздел 8. Транспортные работы</t>
  </si>
  <si>
    <t>Начальник ОППР</t>
  </si>
  <si>
    <t xml:space="preserve">Дверь стальная утепленная. 2,1х0,9 м </t>
  </si>
  <si>
    <t>Краска ВД акриловая белая 15кг (ведро) ЛЮКС (подвергается мытью) (Д30000880003)</t>
  </si>
  <si>
    <t>Штукатурка гипсовая универсальная КНАУФ-Ротбанд (расход 8,5кг/м2 при δ=10мм)</t>
  </si>
  <si>
    <t xml:space="preserve">Грунтовка адгезионная для гипсовых штукатурок </t>
  </si>
  <si>
    <t xml:space="preserve">Мастика гидроизол-ная ТЕХНОНИКОЛЬ № 24 </t>
  </si>
  <si>
    <t>Ремонт санитарно-бытовых помещений БГЭС</t>
  </si>
  <si>
    <t xml:space="preserve">Щебень (ПГС) </t>
  </si>
  <si>
    <t>Бетон В15 (М200)</t>
  </si>
  <si>
    <t>тыс.шт</t>
  </si>
  <si>
    <t>тн</t>
  </si>
  <si>
    <t xml:space="preserve">УТВЕРЖДАЮ  </t>
  </si>
  <si>
    <r>
      <rPr>
        <b/>
        <u/>
        <sz val="10"/>
        <rFont val="Times New Roman"/>
        <family val="1"/>
        <charset val="204"/>
      </rPr>
      <t xml:space="preserve">Условия производства работ: </t>
    </r>
    <r>
      <rPr>
        <sz val="10"/>
        <rFont val="Times New Roman"/>
        <family val="1"/>
        <charset val="204"/>
      </rPr>
      <t xml:space="preserve"> Производство ремонтно-строительных  работ осуществляется в помещениях объекта капитального строительства с остановкой рабочего процесса, при этом в зоне  производства работ имеются действующего технологическое оборудование к разделам  1-6;
производство ремонтно-строительных  работ осуществляется на территории  действующего предприятия с наличием в зоне производства работ разветвленной сети транспортных коммуникаций к разделу 7.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</si>
  <si>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Служба ЗиС подтверждает необходимость проведения данных видов работ</t>
  </si>
  <si>
    <t>Ведущий инженер службы ЗиС ООО "ЕСЭ-ГГ"</t>
  </si>
  <si>
    <t>О.А. Борус</t>
  </si>
  <si>
    <t>Инженер ОППР</t>
  </si>
  <si>
    <t>И.о.начальника ПТО</t>
  </si>
  <si>
    <t>С.А.Золотухин</t>
  </si>
  <si>
    <t xml:space="preserve">Текущий ремонт 
Здание моторного цеха автохозяйства инв. № БРГ_00010027
Ремонт отмостки, замена конструкций (пристрой), ремонт трещин усиление подкрановой балки
</t>
  </si>
  <si>
    <t>Здание моторного цеха автохозяйства инв.№ БРГ_00010027. Ремонт отмостки, замена конструкций (пристрой), ремонт трещин, усиление подкрановой балки</t>
  </si>
  <si>
    <t>Шпилька Ø16 мм, L=650 мм 48шт. (Lрез.=60 мм с обеих сторон)</t>
  </si>
  <si>
    <t xml:space="preserve">Мелкозернистая безусадочная ремонтная смесь марки не ниже М300 </t>
  </si>
  <si>
    <r>
      <t>Вывозка мусора строительного на расстояние 13,1 км (</t>
    </r>
    <r>
      <rPr>
        <sz val="10"/>
        <color rgb="FFFF0000"/>
        <rFont val="Times New Roman"/>
        <family val="1"/>
        <charset val="204"/>
      </rPr>
      <t xml:space="preserve">для захоронения (размещения) мусора </t>
    </r>
    <r>
      <rPr>
        <sz val="10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</si>
</sst>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0000"/>
  </numFmts>
  <fonts count="19" x14ac:knownFonts="1">
    <font>
      <sz val="10"/>
      <name val="Arial Cyr"/>
      <charset val="204"/>
    </font>
    <font>
      <sz val="10"/>
      <name val="Helv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i/>
      <sz val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</cellStyleXfs>
  <cellXfs count="150">
    <xf numFmtId="0" fontId="0" fillId="0" borderId="0" xfId="0"/>
    <xf numFmtId="0" fontId="3" fillId="0" borderId="0" xfId="1" applyFont="1" applyFill="1" applyAlignment="1">
      <alignment horizontal="centerContinuous" vertical="top"/>
    </xf>
    <xf numFmtId="0" fontId="3" fillId="0" borderId="0" xfId="1" applyFont="1" applyFill="1" applyAlignment="1">
      <alignment horizontal="left"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horizontal="centerContinuous" vertical="top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top"/>
    </xf>
    <xf numFmtId="1" fontId="3" fillId="0" borderId="2" xfId="1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4" fillId="0" borderId="0" xfId="1" applyFont="1" applyFill="1" applyAlignment="1">
      <alignment horizontal="right" vertical="top"/>
    </xf>
    <xf numFmtId="0" fontId="3" fillId="0" borderId="2" xfId="0" applyFont="1" applyFill="1" applyBorder="1"/>
    <xf numFmtId="2" fontId="3" fillId="0" borderId="0" xfId="1" applyNumberFormat="1" applyFont="1" applyFill="1" applyAlignment="1">
      <alignment vertical="top"/>
    </xf>
    <xf numFmtId="2" fontId="3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top"/>
    </xf>
    <xf numFmtId="49" fontId="4" fillId="0" borderId="0" xfId="1" applyNumberFormat="1" applyFont="1" applyFill="1" applyAlignment="1">
      <alignment vertical="top"/>
    </xf>
    <xf numFmtId="0" fontId="6" fillId="0" borderId="0" xfId="1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2" fontId="3" fillId="0" borderId="2" xfId="0" applyNumberFormat="1" applyFont="1" applyFill="1" applyBorder="1" applyAlignment="1">
      <alignment horizontal="center" vertical="top"/>
    </xf>
    <xf numFmtId="2" fontId="3" fillId="0" borderId="0" xfId="1" applyNumberFormat="1" applyFont="1" applyFill="1" applyAlignment="1">
      <alignment horizontal="center" vertical="top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/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top"/>
    </xf>
    <xf numFmtId="0" fontId="3" fillId="2" borderId="0" xfId="0" applyFont="1" applyFill="1" applyBorder="1"/>
    <xf numFmtId="0" fontId="3" fillId="2" borderId="4" xfId="0" applyFont="1" applyFill="1" applyBorder="1" applyAlignment="1">
      <alignment horizontal="left" vertical="top" wrapText="1"/>
    </xf>
    <xf numFmtId="0" fontId="3" fillId="0" borderId="2" xfId="1" applyFont="1" applyFill="1" applyBorder="1" applyAlignment="1">
      <alignment horizontal="left" vertical="top" wrapText="1"/>
    </xf>
    <xf numFmtId="2" fontId="3" fillId="0" borderId="2" xfId="1" applyNumberFormat="1" applyFont="1" applyFill="1" applyBorder="1" applyAlignment="1">
      <alignment horizontal="center" vertical="top"/>
    </xf>
    <xf numFmtId="0" fontId="3" fillId="0" borderId="9" xfId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0" fillId="2" borderId="0" xfId="0" applyFill="1"/>
    <xf numFmtId="2" fontId="3" fillId="0" borderId="2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2" fontId="3" fillId="2" borderId="2" xfId="1" applyNumberFormat="1" applyFont="1" applyFill="1" applyBorder="1" applyAlignment="1">
      <alignment horizontal="center" vertical="top"/>
    </xf>
    <xf numFmtId="0" fontId="3" fillId="3" borderId="0" xfId="0" applyFont="1" applyFill="1"/>
    <xf numFmtId="164" fontId="3" fillId="0" borderId="2" xfId="1" applyNumberFormat="1" applyFont="1" applyFill="1" applyBorder="1" applyAlignment="1">
      <alignment horizontal="center" vertical="top"/>
    </xf>
    <xf numFmtId="165" fontId="3" fillId="0" borderId="2" xfId="1" applyNumberFormat="1" applyFont="1" applyFill="1" applyBorder="1" applyAlignment="1">
      <alignment horizontal="center" vertical="top"/>
    </xf>
    <xf numFmtId="166" fontId="3" fillId="0" borderId="2" xfId="1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11" fillId="0" borderId="0" xfId="1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center" vertical="top"/>
    </xf>
    <xf numFmtId="0" fontId="15" fillId="0" borderId="0" xfId="3" applyFont="1" applyFill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/>
    <xf numFmtId="2" fontId="3" fillId="0" borderId="0" xfId="0" applyNumberFormat="1" applyFont="1" applyAlignment="1">
      <alignment horizontal="center"/>
    </xf>
    <xf numFmtId="0" fontId="3" fillId="4" borderId="0" xfId="0" applyFont="1" applyFill="1"/>
    <xf numFmtId="0" fontId="3" fillId="5" borderId="0" xfId="0" applyFont="1" applyFill="1"/>
    <xf numFmtId="0" fontId="3" fillId="0" borderId="0" xfId="0" applyFont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/>
    </xf>
    <xf numFmtId="2" fontId="3" fillId="0" borderId="4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17" fillId="0" borderId="0" xfId="1" applyFont="1" applyFill="1" applyAlignment="1">
      <alignment vertical="top"/>
    </xf>
    <xf numFmtId="2" fontId="17" fillId="0" borderId="0" xfId="1" applyNumberFormat="1" applyFont="1" applyFill="1" applyAlignment="1">
      <alignment horizontal="center" vertical="top"/>
    </xf>
    <xf numFmtId="0" fontId="3" fillId="0" borderId="0" xfId="2" applyFont="1" applyAlignment="1">
      <alignment horizontal="left" vertical="top"/>
    </xf>
    <xf numFmtId="0" fontId="3" fillId="0" borderId="0" xfId="1" applyFont="1" applyFill="1" applyAlignment="1">
      <alignment vertical="top"/>
    </xf>
    <xf numFmtId="0" fontId="3" fillId="0" borderId="0" xfId="2" applyFont="1" applyAlignment="1">
      <alignment horizontal="right"/>
    </xf>
    <xf numFmtId="0" fontId="5" fillId="0" borderId="0" xfId="1" applyFont="1" applyFill="1" applyAlignment="1">
      <alignment vertical="top"/>
    </xf>
    <xf numFmtId="2" fontId="5" fillId="0" borderId="0" xfId="1" applyNumberFormat="1" applyFont="1" applyFill="1" applyAlignment="1">
      <alignment horizontal="center" vertical="top"/>
    </xf>
    <xf numFmtId="0" fontId="17" fillId="0" borderId="0" xfId="2" applyFont="1" applyAlignment="1">
      <alignment horizontal="right"/>
    </xf>
    <xf numFmtId="0" fontId="13" fillId="0" borderId="0" xfId="0" applyFont="1"/>
    <xf numFmtId="0" fontId="3" fillId="0" borderId="0" xfId="0" applyFont="1" applyAlignment="1">
      <alignment vertical="top"/>
    </xf>
    <xf numFmtId="0" fontId="3" fillId="0" borderId="1" xfId="0" applyFont="1" applyFill="1" applyBorder="1"/>
    <xf numFmtId="0" fontId="3" fillId="2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49" fontId="10" fillId="0" borderId="0" xfId="0" applyNumberFormat="1" applyFont="1" applyFill="1" applyBorder="1" applyAlignment="1" applyProtection="1">
      <alignment horizontal="center" vertical="top"/>
    </xf>
    <xf numFmtId="0" fontId="5" fillId="0" borderId="0" xfId="1" applyFont="1" applyFill="1" applyAlignment="1">
      <alignment horizontal="center"/>
    </xf>
    <xf numFmtId="0" fontId="3" fillId="0" borderId="3" xfId="0" applyFont="1" applyFill="1" applyBorder="1" applyAlignment="1">
      <alignment horizontal="left" vertical="top" wrapText="1"/>
    </xf>
    <xf numFmtId="0" fontId="12" fillId="0" borderId="0" xfId="1" applyFont="1" applyFill="1" applyAlignment="1">
      <alignment horizontal="center"/>
    </xf>
    <xf numFmtId="0" fontId="18" fillId="2" borderId="0" xfId="1" applyFont="1" applyFill="1" applyBorder="1" applyAlignment="1">
      <alignment horizontal="center" vertical="top" wrapText="1"/>
    </xf>
    <xf numFmtId="0" fontId="13" fillId="0" borderId="0" xfId="1" applyFont="1" applyFill="1" applyAlignment="1">
      <alignment horizontal="center" vertical="top"/>
    </xf>
    <xf numFmtId="0" fontId="3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/>
    </xf>
    <xf numFmtId="2" fontId="3" fillId="0" borderId="6" xfId="0" applyNumberFormat="1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 wrapText="1"/>
    </xf>
    <xf numFmtId="0" fontId="7" fillId="0" borderId="10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3" fillId="0" borderId="5" xfId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0" fontId="16" fillId="0" borderId="0" xfId="1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center" vertical="top"/>
    </xf>
    <xf numFmtId="2" fontId="3" fillId="0" borderId="6" xfId="1" applyNumberFormat="1" applyFont="1" applyFill="1" applyBorder="1" applyAlignment="1">
      <alignment horizontal="center" vertical="top"/>
    </xf>
    <xf numFmtId="2" fontId="3" fillId="0" borderId="5" xfId="1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</cellXfs>
  <cellStyles count="4">
    <cellStyle name="Гиперссылка" xfId="3" builtinId="8"/>
    <cellStyle name="Обычный" xfId="0" builtinId="0"/>
    <cellStyle name="Обычный_дв" xfId="2"/>
    <cellStyle name="Стиль 1" xfId="1"/>
  </cellStyles>
  <dxfs count="0"/>
  <tableStyles count="0" defaultTableStyle="TableStyleMedium9" defaultPivotStyle="PivotStyleLight16"/>
  <colors>
    <mruColors>
      <color rgb="FFD828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99392</xdr:rowOff>
    </xdr:from>
    <xdr:to>
      <xdr:col>29</xdr:col>
      <xdr:colOff>607905</xdr:colOff>
      <xdr:row>64</xdr:row>
      <xdr:rowOff>18179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9392"/>
          <a:ext cx="18382383" cy="10520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tabSelected="1" view="pageBreakPreview" topLeftCell="B55" zoomScale="89" zoomScaleNormal="100" zoomScaleSheetLayoutView="89" workbookViewId="0">
      <selection activeCell="C71" sqref="C71"/>
    </sheetView>
  </sheetViews>
  <sheetFormatPr defaultRowHeight="12.75" x14ac:dyDescent="0.2"/>
  <cols>
    <col min="1" max="1" width="3.5703125" style="59" hidden="1" customWidth="1"/>
    <col min="2" max="2" width="4.5703125" style="88" customWidth="1"/>
    <col min="3" max="3" width="44.5703125" style="59" customWidth="1"/>
    <col min="4" max="4" width="11.5703125" style="59" customWidth="1"/>
    <col min="5" max="5" width="9.42578125" style="64" customWidth="1"/>
    <col min="6" max="6" width="18.7109375" style="59" customWidth="1"/>
    <col min="7" max="7" width="6.28515625" style="59" customWidth="1"/>
    <col min="8" max="8" width="7.140625" style="59" customWidth="1"/>
    <col min="9" max="9" width="9.7109375" style="59" customWidth="1"/>
    <col min="10" max="10" width="30.28515625" style="59" customWidth="1"/>
    <col min="11" max="11" width="7.5703125" style="59" customWidth="1"/>
    <col min="12" max="12" width="8.5703125" style="65" customWidth="1"/>
    <col min="13" max="13" width="10.85546875" style="59" customWidth="1"/>
    <col min="14" max="16384" width="9.140625" style="59"/>
  </cols>
  <sheetData>
    <row r="1" spans="2:14" ht="15.75" x14ac:dyDescent="0.2">
      <c r="B1" s="15"/>
      <c r="C1" s="16"/>
      <c r="D1" s="17"/>
      <c r="E1" s="17"/>
      <c r="F1" s="17"/>
      <c r="G1" s="17"/>
      <c r="H1" s="17"/>
      <c r="I1" s="17"/>
      <c r="J1" s="17"/>
      <c r="K1" s="79"/>
      <c r="L1" s="80"/>
      <c r="M1" s="10" t="s">
        <v>106</v>
      </c>
    </row>
    <row r="2" spans="2:14" x14ac:dyDescent="0.2">
      <c r="B2" s="81"/>
      <c r="C2" s="82"/>
      <c r="D2" s="55"/>
      <c r="E2" s="55"/>
      <c r="F2" s="55"/>
      <c r="G2" s="55"/>
      <c r="H2" s="55"/>
      <c r="I2" s="55"/>
      <c r="J2" s="55"/>
      <c r="K2" s="82"/>
      <c r="L2" s="20"/>
      <c r="M2" s="83" t="s">
        <v>21</v>
      </c>
    </row>
    <row r="3" spans="2:14" x14ac:dyDescent="0.2">
      <c r="B3" s="81"/>
      <c r="C3" s="82"/>
      <c r="D3" s="55"/>
      <c r="E3" s="55"/>
      <c r="F3" s="55"/>
      <c r="G3" s="55"/>
      <c r="H3" s="55"/>
      <c r="I3" s="55"/>
      <c r="J3" s="55"/>
      <c r="K3" s="82"/>
      <c r="L3" s="20"/>
      <c r="M3" s="83" t="s">
        <v>23</v>
      </c>
    </row>
    <row r="4" spans="2:14" x14ac:dyDescent="0.2">
      <c r="B4" s="81"/>
      <c r="C4" s="82"/>
      <c r="D4" s="55"/>
      <c r="E4" s="55"/>
      <c r="F4" s="55"/>
      <c r="G4" s="55"/>
      <c r="H4" s="55"/>
      <c r="I4" s="55"/>
      <c r="J4" s="55"/>
      <c r="K4" s="82"/>
      <c r="L4" s="20"/>
      <c r="M4" s="83" t="s">
        <v>22</v>
      </c>
    </row>
    <row r="5" spans="2:14" x14ac:dyDescent="0.2">
      <c r="B5" s="81"/>
      <c r="C5" s="82"/>
      <c r="D5" s="55"/>
      <c r="E5" s="55"/>
      <c r="F5" s="55"/>
      <c r="G5" s="55"/>
      <c r="H5" s="55"/>
      <c r="I5" s="55"/>
      <c r="J5" s="55"/>
      <c r="K5" s="82"/>
      <c r="L5" s="20"/>
      <c r="M5" s="83" t="s">
        <v>50</v>
      </c>
    </row>
    <row r="6" spans="2:14" ht="15.75" x14ac:dyDescent="0.25">
      <c r="B6" s="81"/>
      <c r="C6" s="84"/>
      <c r="D6" s="17"/>
      <c r="E6" s="17"/>
      <c r="F6" s="17"/>
      <c r="G6" s="17"/>
      <c r="H6" s="17"/>
      <c r="I6" s="17"/>
      <c r="J6" s="17"/>
      <c r="K6" s="84"/>
      <c r="L6" s="85"/>
      <c r="M6" s="86"/>
    </row>
    <row r="7" spans="2:14" ht="15" x14ac:dyDescent="0.25">
      <c r="B7" s="95" t="s">
        <v>14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</row>
    <row r="8" spans="2:14" ht="18.75" x14ac:dyDescent="0.3">
      <c r="B8" s="97" t="s">
        <v>49</v>
      </c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</row>
    <row r="9" spans="2:14" ht="15.75" x14ac:dyDescent="0.25"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</row>
    <row r="10" spans="2:14" ht="18.75" x14ac:dyDescent="0.2">
      <c r="B10" s="94" t="s">
        <v>101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</row>
    <row r="11" spans="2:14" x14ac:dyDescent="0.2">
      <c r="B11" s="98" t="s">
        <v>114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</row>
    <row r="12" spans="2:14" s="87" customFormat="1" x14ac:dyDescent="0.2">
      <c r="B12" s="99" t="s">
        <v>3</v>
      </c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</row>
    <row r="13" spans="2:14" s="87" customFormat="1" ht="42.75" customHeight="1" x14ac:dyDescent="0.2">
      <c r="B13" s="139" t="s">
        <v>115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</row>
    <row r="14" spans="2:14" s="87" customFormat="1" x14ac:dyDescent="0.2">
      <c r="B14" s="99" t="s">
        <v>4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</row>
    <row r="15" spans="2:14" s="5" customFormat="1" x14ac:dyDescent="0.2">
      <c r="B15" s="1"/>
      <c r="C15" s="2"/>
      <c r="D15" s="1"/>
      <c r="E15" s="12"/>
      <c r="F15" s="4"/>
      <c r="G15" s="1"/>
      <c r="H15" s="1"/>
      <c r="I15" s="1"/>
      <c r="J15" s="1"/>
      <c r="K15" s="3"/>
      <c r="L15" s="20"/>
      <c r="M15" s="1"/>
    </row>
    <row r="16" spans="2:14" s="5" customFormat="1" x14ac:dyDescent="0.2">
      <c r="B16" s="100" t="s">
        <v>5</v>
      </c>
      <c r="C16" s="101" t="s">
        <v>6</v>
      </c>
      <c r="D16" s="101" t="s">
        <v>7</v>
      </c>
      <c r="E16" s="101"/>
      <c r="F16" s="101" t="s">
        <v>8</v>
      </c>
      <c r="G16" s="101"/>
      <c r="H16" s="101"/>
      <c r="I16" s="101"/>
      <c r="J16" s="101" t="s">
        <v>9</v>
      </c>
      <c r="K16" s="101"/>
      <c r="L16" s="101"/>
      <c r="M16" s="101"/>
    </row>
    <row r="17" spans="1:20" s="6" customFormat="1" ht="84" x14ac:dyDescent="0.2">
      <c r="B17" s="100"/>
      <c r="C17" s="101"/>
      <c r="D17" s="70" t="s">
        <v>1</v>
      </c>
      <c r="E17" s="13" t="s">
        <v>10</v>
      </c>
      <c r="F17" s="70" t="s">
        <v>0</v>
      </c>
      <c r="G17" s="70" t="s">
        <v>1</v>
      </c>
      <c r="H17" s="70" t="s">
        <v>10</v>
      </c>
      <c r="I17" s="14" t="s">
        <v>11</v>
      </c>
      <c r="J17" s="70" t="s">
        <v>0</v>
      </c>
      <c r="K17" s="70" t="s">
        <v>1</v>
      </c>
      <c r="L17" s="13" t="s">
        <v>10</v>
      </c>
      <c r="M17" s="70" t="s">
        <v>13</v>
      </c>
    </row>
    <row r="18" spans="1:20" s="9" customFormat="1" x14ac:dyDescent="0.2">
      <c r="B18" s="7">
        <v>1</v>
      </c>
      <c r="C18" s="7">
        <v>2</v>
      </c>
      <c r="D18" s="7">
        <v>3</v>
      </c>
      <c r="E18" s="7">
        <v>4</v>
      </c>
      <c r="F18" s="69">
        <v>5</v>
      </c>
      <c r="G18" s="7">
        <v>6</v>
      </c>
      <c r="H18" s="7">
        <v>7</v>
      </c>
      <c r="I18" s="7">
        <v>8</v>
      </c>
      <c r="J18" s="7">
        <v>9</v>
      </c>
      <c r="K18" s="7">
        <v>10</v>
      </c>
      <c r="L18" s="8">
        <v>11</v>
      </c>
      <c r="M18" s="7">
        <v>12</v>
      </c>
    </row>
    <row r="19" spans="1:20" s="9" customFormat="1" x14ac:dyDescent="0.2">
      <c r="B19" s="123" t="s">
        <v>24</v>
      </c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5"/>
    </row>
    <row r="20" spans="1:20" s="5" customFormat="1" ht="42.75" customHeight="1" x14ac:dyDescent="0.2">
      <c r="B20" s="18">
        <v>1</v>
      </c>
      <c r="C20" s="78" t="s">
        <v>51</v>
      </c>
      <c r="D20" s="34" t="s">
        <v>19</v>
      </c>
      <c r="E20" s="19">
        <v>60</v>
      </c>
      <c r="F20" s="34" t="s">
        <v>15</v>
      </c>
      <c r="G20" s="18" t="s">
        <v>16</v>
      </c>
      <c r="H20" s="19">
        <f>2.4*E20*0.1</f>
        <v>14.4</v>
      </c>
      <c r="I20" s="18" t="s">
        <v>15</v>
      </c>
      <c r="J20" s="46"/>
      <c r="K20" s="46"/>
      <c r="L20" s="45"/>
      <c r="M20" s="46"/>
    </row>
    <row r="21" spans="1:20" s="5" customFormat="1" ht="30" customHeight="1" x14ac:dyDescent="0.2">
      <c r="B21" s="73">
        <v>2</v>
      </c>
      <c r="C21" s="71" t="s">
        <v>52</v>
      </c>
      <c r="D21" s="77" t="s">
        <v>19</v>
      </c>
      <c r="E21" s="74">
        <f>60*0.3</f>
        <v>18</v>
      </c>
      <c r="F21" s="77"/>
      <c r="G21" s="73"/>
      <c r="H21" s="74"/>
      <c r="I21" s="73"/>
      <c r="J21" s="72" t="s">
        <v>100</v>
      </c>
      <c r="K21" s="73" t="s">
        <v>27</v>
      </c>
      <c r="L21" s="74">
        <f>1*2*E21</f>
        <v>36</v>
      </c>
      <c r="M21" s="18" t="s">
        <v>17</v>
      </c>
    </row>
    <row r="22" spans="1:20" s="5" customFormat="1" ht="36.75" customHeight="1" x14ac:dyDescent="0.2">
      <c r="A22" s="26"/>
      <c r="B22" s="18">
        <v>3</v>
      </c>
      <c r="C22" s="78" t="s">
        <v>25</v>
      </c>
      <c r="D22" s="34" t="s">
        <v>2</v>
      </c>
      <c r="E22" s="19">
        <f>E20*0.1</f>
        <v>6</v>
      </c>
      <c r="F22" s="34"/>
      <c r="G22" s="18"/>
      <c r="H22" s="19"/>
      <c r="I22" s="18"/>
      <c r="J22" s="46" t="s">
        <v>102</v>
      </c>
      <c r="K22" s="18" t="s">
        <v>2</v>
      </c>
      <c r="L22" s="19">
        <f>E22</f>
        <v>6</v>
      </c>
      <c r="M22" s="18" t="s">
        <v>17</v>
      </c>
    </row>
    <row r="23" spans="1:20" s="5" customFormat="1" ht="33" customHeight="1" x14ac:dyDescent="0.2">
      <c r="A23" s="28"/>
      <c r="B23" s="73">
        <v>4</v>
      </c>
      <c r="C23" s="71" t="s">
        <v>26</v>
      </c>
      <c r="D23" s="77" t="s">
        <v>19</v>
      </c>
      <c r="E23" s="74">
        <f>E20</f>
        <v>60</v>
      </c>
      <c r="F23" s="77"/>
      <c r="G23" s="73"/>
      <c r="H23" s="74"/>
      <c r="I23" s="73"/>
      <c r="J23" s="71" t="s">
        <v>103</v>
      </c>
      <c r="K23" s="73" t="s">
        <v>2</v>
      </c>
      <c r="L23" s="74">
        <f>E23*0.1</f>
        <v>6</v>
      </c>
      <c r="M23" s="73" t="s">
        <v>17</v>
      </c>
      <c r="T23" s="61"/>
    </row>
    <row r="24" spans="1:20" s="5" customFormat="1" x14ac:dyDescent="0.2">
      <c r="A24" s="102" t="s">
        <v>65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4"/>
      <c r="T24" s="61"/>
    </row>
    <row r="25" spans="1:20" s="5" customFormat="1" ht="42.75" customHeight="1" x14ac:dyDescent="0.2">
      <c r="A25" s="30"/>
      <c r="B25" s="18">
        <v>5</v>
      </c>
      <c r="C25" s="78" t="s">
        <v>55</v>
      </c>
      <c r="D25" s="34" t="s">
        <v>29</v>
      </c>
      <c r="E25" s="19">
        <f>24/0.3*0.5*2</f>
        <v>80</v>
      </c>
      <c r="F25" s="31"/>
      <c r="G25" s="31"/>
      <c r="H25" s="31"/>
      <c r="I25" s="31"/>
      <c r="J25" s="31"/>
      <c r="K25" s="31"/>
      <c r="L25" s="31"/>
      <c r="M25" s="31"/>
      <c r="N25" s="28"/>
      <c r="T25" s="61"/>
    </row>
    <row r="26" spans="1:20" s="5" customFormat="1" ht="44.25" customHeight="1" x14ac:dyDescent="0.2">
      <c r="A26" s="30"/>
      <c r="B26" s="18">
        <v>6</v>
      </c>
      <c r="C26" s="78" t="s">
        <v>53</v>
      </c>
      <c r="D26" s="34" t="s">
        <v>20</v>
      </c>
      <c r="E26" s="19">
        <f>24/0.3*2*2</f>
        <v>320</v>
      </c>
      <c r="F26" s="31"/>
      <c r="G26" s="31"/>
      <c r="H26" s="31"/>
      <c r="I26" s="31"/>
      <c r="J26" s="31"/>
      <c r="K26" s="31"/>
      <c r="L26" s="31"/>
      <c r="M26" s="31"/>
      <c r="T26" s="61"/>
    </row>
    <row r="27" spans="1:20" s="5" customFormat="1" ht="30" customHeight="1" x14ac:dyDescent="0.2">
      <c r="A27" s="28"/>
      <c r="B27" s="18">
        <v>7</v>
      </c>
      <c r="C27" s="27" t="s">
        <v>28</v>
      </c>
      <c r="D27" s="34" t="s">
        <v>19</v>
      </c>
      <c r="E27" s="19">
        <f>24*0.5</f>
        <v>12</v>
      </c>
      <c r="F27" s="23"/>
      <c r="G27" s="25"/>
      <c r="H27" s="21"/>
      <c r="I27" s="25"/>
      <c r="J27" s="27"/>
      <c r="K27" s="25"/>
      <c r="L27" s="21"/>
      <c r="M27" s="25"/>
      <c r="T27" s="61"/>
    </row>
    <row r="28" spans="1:20" s="5" customFormat="1" ht="24" x14ac:dyDescent="0.2">
      <c r="A28" s="28"/>
      <c r="B28" s="18">
        <v>8</v>
      </c>
      <c r="C28" s="78" t="s">
        <v>54</v>
      </c>
      <c r="D28" s="34" t="s">
        <v>20</v>
      </c>
      <c r="E28" s="19">
        <v>80</v>
      </c>
      <c r="F28" s="34"/>
      <c r="G28" s="18"/>
      <c r="H28" s="19"/>
      <c r="I28" s="18"/>
      <c r="J28" s="78" t="s">
        <v>58</v>
      </c>
      <c r="K28" s="18" t="s">
        <v>27</v>
      </c>
      <c r="L28" s="19">
        <f>0.8*80*0.395</f>
        <v>25.28</v>
      </c>
      <c r="M28" s="18" t="s">
        <v>17</v>
      </c>
      <c r="N28" s="37"/>
      <c r="T28" s="61"/>
    </row>
    <row r="29" spans="1:20" s="5" customFormat="1" ht="38.25" x14ac:dyDescent="0.2">
      <c r="A29" s="28"/>
      <c r="B29" s="18">
        <v>9</v>
      </c>
      <c r="C29" s="78" t="s">
        <v>56</v>
      </c>
      <c r="D29" s="18" t="s">
        <v>57</v>
      </c>
      <c r="E29" s="19">
        <v>24</v>
      </c>
      <c r="F29" s="23"/>
      <c r="G29" s="25"/>
      <c r="H29" s="21"/>
      <c r="I29" s="25"/>
      <c r="J29" s="90" t="s">
        <v>117</v>
      </c>
      <c r="K29" s="75" t="s">
        <v>27</v>
      </c>
      <c r="L29" s="76">
        <f>0.048*1550</f>
        <v>74.400000000000006</v>
      </c>
      <c r="M29" s="18" t="s">
        <v>17</v>
      </c>
      <c r="N29" s="37"/>
      <c r="R29" s="66"/>
      <c r="T29" s="61"/>
    </row>
    <row r="30" spans="1:20" s="5" customFormat="1" x14ac:dyDescent="0.2">
      <c r="A30" s="28"/>
      <c r="B30" s="123" t="s">
        <v>59</v>
      </c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5"/>
      <c r="N30" s="37"/>
      <c r="T30" s="61"/>
    </row>
    <row r="31" spans="1:20" s="5" customFormat="1" ht="45" customHeight="1" x14ac:dyDescent="0.2">
      <c r="A31" s="28"/>
      <c r="B31" s="18">
        <v>10</v>
      </c>
      <c r="C31" s="78" t="s">
        <v>63</v>
      </c>
      <c r="D31" s="34" t="s">
        <v>20</v>
      </c>
      <c r="E31" s="19">
        <v>48</v>
      </c>
      <c r="F31" s="34"/>
      <c r="G31" s="18"/>
      <c r="H31" s="19"/>
      <c r="I31" s="18"/>
      <c r="J31" s="78"/>
      <c r="K31" s="18"/>
      <c r="L31" s="19"/>
      <c r="M31" s="18"/>
      <c r="N31" s="37"/>
      <c r="T31" s="61"/>
    </row>
    <row r="32" spans="1:20" s="5" customFormat="1" x14ac:dyDescent="0.2">
      <c r="A32" s="28"/>
      <c r="B32" s="117">
        <v>11</v>
      </c>
      <c r="C32" s="105" t="s">
        <v>60</v>
      </c>
      <c r="D32" s="117" t="s">
        <v>16</v>
      </c>
      <c r="E32" s="126">
        <f>SUM(L32:L34)/1000</f>
        <v>0.72998400000000008</v>
      </c>
      <c r="F32" s="117"/>
      <c r="G32" s="117"/>
      <c r="H32" s="117"/>
      <c r="I32" s="117"/>
      <c r="J32" s="78" t="s">
        <v>61</v>
      </c>
      <c r="K32" s="18" t="s">
        <v>27</v>
      </c>
      <c r="L32" s="19">
        <f>170.4*4</f>
        <v>681.6</v>
      </c>
      <c r="M32" s="18" t="s">
        <v>17</v>
      </c>
      <c r="T32" s="61"/>
    </row>
    <row r="33" spans="1:20" s="5" customFormat="1" ht="25.5" x14ac:dyDescent="0.2">
      <c r="A33" s="28"/>
      <c r="B33" s="122"/>
      <c r="C33" s="106"/>
      <c r="D33" s="122"/>
      <c r="E33" s="127"/>
      <c r="F33" s="122"/>
      <c r="G33" s="122"/>
      <c r="H33" s="122"/>
      <c r="I33" s="122"/>
      <c r="J33" s="78" t="s">
        <v>62</v>
      </c>
      <c r="K33" s="18" t="s">
        <v>27</v>
      </c>
      <c r="L33" s="19">
        <f>3*8*0.482</f>
        <v>11.568</v>
      </c>
      <c r="M33" s="18" t="s">
        <v>17</v>
      </c>
      <c r="T33" s="61"/>
    </row>
    <row r="34" spans="1:20" s="5" customFormat="1" ht="25.5" x14ac:dyDescent="0.2">
      <c r="A34" s="28"/>
      <c r="B34" s="122"/>
      <c r="C34" s="106"/>
      <c r="D34" s="122"/>
      <c r="E34" s="127"/>
      <c r="F34" s="122"/>
      <c r="G34" s="122"/>
      <c r="H34" s="122"/>
      <c r="I34" s="122"/>
      <c r="J34" s="78" t="s">
        <v>116</v>
      </c>
      <c r="K34" s="18" t="s">
        <v>27</v>
      </c>
      <c r="L34" s="19">
        <f>0.767*48</f>
        <v>36.816000000000003</v>
      </c>
      <c r="M34" s="18" t="s">
        <v>17</v>
      </c>
      <c r="T34" s="61"/>
    </row>
    <row r="35" spans="1:20" s="5" customFormat="1" x14ac:dyDescent="0.2">
      <c r="A35" s="28"/>
      <c r="B35" s="118"/>
      <c r="C35" s="107"/>
      <c r="D35" s="118"/>
      <c r="E35" s="128"/>
      <c r="F35" s="118"/>
      <c r="G35" s="118"/>
      <c r="H35" s="118"/>
      <c r="I35" s="118"/>
      <c r="J35" s="78" t="s">
        <v>30</v>
      </c>
      <c r="K35" s="18" t="s">
        <v>20</v>
      </c>
      <c r="L35" s="19">
        <v>96</v>
      </c>
      <c r="M35" s="18" t="s">
        <v>17</v>
      </c>
      <c r="T35" s="61"/>
    </row>
    <row r="36" spans="1:20" s="5" customFormat="1" ht="51" x14ac:dyDescent="0.2">
      <c r="A36" s="28"/>
      <c r="B36" s="73">
        <v>12</v>
      </c>
      <c r="C36" s="71" t="s">
        <v>67</v>
      </c>
      <c r="D36" s="77" t="s">
        <v>2</v>
      </c>
      <c r="E36" s="36">
        <f>0.2*0.2*0.15*8</f>
        <v>4.8000000000000008E-2</v>
      </c>
      <c r="F36" s="77"/>
      <c r="G36" s="73"/>
      <c r="H36" s="74"/>
      <c r="I36" s="73"/>
      <c r="J36" s="78" t="s">
        <v>64</v>
      </c>
      <c r="K36" s="18" t="s">
        <v>27</v>
      </c>
      <c r="L36" s="19">
        <f>1700*E36</f>
        <v>81.600000000000009</v>
      </c>
      <c r="M36" s="18" t="s">
        <v>17</v>
      </c>
      <c r="R36" s="67"/>
      <c r="T36" s="61"/>
    </row>
    <row r="37" spans="1:20" s="5" customFormat="1" x14ac:dyDescent="0.2">
      <c r="A37" s="28"/>
      <c r="B37" s="102" t="s">
        <v>66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4"/>
      <c r="T37" s="61"/>
    </row>
    <row r="38" spans="1:20" s="5" customFormat="1" ht="45" customHeight="1" x14ac:dyDescent="0.2">
      <c r="A38" s="28"/>
      <c r="B38" s="7">
        <v>13</v>
      </c>
      <c r="C38" s="38" t="s">
        <v>69</v>
      </c>
      <c r="D38" s="7" t="s">
        <v>19</v>
      </c>
      <c r="E38" s="40">
        <v>6</v>
      </c>
      <c r="F38" s="31"/>
      <c r="G38" s="31"/>
      <c r="H38" s="31"/>
      <c r="I38" s="31"/>
      <c r="J38" s="31"/>
      <c r="K38" s="31"/>
      <c r="L38" s="31"/>
      <c r="M38" s="31"/>
      <c r="T38" s="61"/>
    </row>
    <row r="39" spans="1:20" s="5" customFormat="1" ht="25.5" x14ac:dyDescent="0.2">
      <c r="A39" s="28"/>
      <c r="B39" s="7">
        <v>14</v>
      </c>
      <c r="C39" s="38" t="s">
        <v>68</v>
      </c>
      <c r="D39" s="7" t="s">
        <v>19</v>
      </c>
      <c r="E39" s="40">
        <v>6</v>
      </c>
      <c r="F39" s="31"/>
      <c r="G39" s="31"/>
      <c r="H39" s="31"/>
      <c r="I39" s="31"/>
      <c r="J39" s="39" t="s">
        <v>99</v>
      </c>
      <c r="K39" s="7" t="s">
        <v>27</v>
      </c>
      <c r="L39" s="7">
        <v>0.61799999999999999</v>
      </c>
      <c r="M39" s="7" t="s">
        <v>17</v>
      </c>
      <c r="R39" s="48"/>
      <c r="T39" s="61"/>
    </row>
    <row r="40" spans="1:20" s="5" customFormat="1" ht="38.25" x14ac:dyDescent="0.2">
      <c r="A40" s="28"/>
      <c r="B40" s="7">
        <v>15</v>
      </c>
      <c r="C40" s="38" t="s">
        <v>70</v>
      </c>
      <c r="D40" s="7" t="s">
        <v>19</v>
      </c>
      <c r="E40" s="40">
        <v>6</v>
      </c>
      <c r="F40" s="31"/>
      <c r="G40" s="31"/>
      <c r="H40" s="31"/>
      <c r="I40" s="31"/>
      <c r="J40" s="39" t="s">
        <v>98</v>
      </c>
      <c r="K40" s="7" t="s">
        <v>2</v>
      </c>
      <c r="L40" s="7">
        <v>0.13200000000000001</v>
      </c>
      <c r="M40" s="7" t="s">
        <v>17</v>
      </c>
      <c r="R40" s="66"/>
      <c r="T40" s="61"/>
    </row>
    <row r="41" spans="1:20" s="5" customFormat="1" ht="43.5" customHeight="1" x14ac:dyDescent="0.2">
      <c r="A41" s="28"/>
      <c r="B41" s="7">
        <v>16</v>
      </c>
      <c r="C41" s="78" t="s">
        <v>84</v>
      </c>
      <c r="D41" s="7" t="s">
        <v>19</v>
      </c>
      <c r="E41" s="47">
        <f>((11.5+5.36)*2*-(2.3-3))*1.7</f>
        <v>40.12680000000001</v>
      </c>
      <c r="F41" s="31"/>
      <c r="G41" s="31"/>
      <c r="H41" s="31"/>
      <c r="I41" s="31"/>
      <c r="J41" s="39" t="s">
        <v>71</v>
      </c>
      <c r="K41" s="7" t="s">
        <v>27</v>
      </c>
      <c r="L41" s="50">
        <v>26.8871</v>
      </c>
      <c r="M41" s="7" t="s">
        <v>17</v>
      </c>
      <c r="R41" s="48"/>
      <c r="T41" s="61"/>
    </row>
    <row r="42" spans="1:20" s="5" customFormat="1" ht="44.25" customHeight="1" x14ac:dyDescent="0.2">
      <c r="A42" s="28"/>
      <c r="B42" s="7">
        <v>17</v>
      </c>
      <c r="C42" s="78" t="s">
        <v>85</v>
      </c>
      <c r="D42" s="7" t="s">
        <v>19</v>
      </c>
      <c r="E42" s="40">
        <f>((11.5+5.36)*2*-(2.3-3))*2.08</f>
        <v>49.096320000000013</v>
      </c>
      <c r="F42" s="31"/>
      <c r="G42" s="31"/>
      <c r="H42" s="31"/>
      <c r="I42" s="31"/>
      <c r="J42" s="39" t="s">
        <v>72</v>
      </c>
      <c r="K42" s="7" t="s">
        <v>27</v>
      </c>
      <c r="L42" s="50">
        <v>10.360099999999999</v>
      </c>
      <c r="M42" s="7" t="s">
        <v>17</v>
      </c>
      <c r="R42" s="48"/>
      <c r="T42" s="61"/>
    </row>
    <row r="43" spans="1:20" s="5" customFormat="1" x14ac:dyDescent="0.2">
      <c r="A43" s="28"/>
      <c r="B43" s="103" t="s">
        <v>79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4"/>
      <c r="T43" s="61"/>
    </row>
    <row r="44" spans="1:20" s="5" customFormat="1" ht="25.5" x14ac:dyDescent="0.2">
      <c r="A44" s="28"/>
      <c r="B44" s="129">
        <v>18</v>
      </c>
      <c r="C44" s="140" t="s">
        <v>74</v>
      </c>
      <c r="D44" s="129" t="s">
        <v>73</v>
      </c>
      <c r="E44" s="141">
        <v>4</v>
      </c>
      <c r="F44" s="129"/>
      <c r="G44" s="129"/>
      <c r="H44" s="129"/>
      <c r="I44" s="129"/>
      <c r="J44" s="41" t="s">
        <v>75</v>
      </c>
      <c r="K44" s="7" t="s">
        <v>20</v>
      </c>
      <c r="L44" s="40">
        <v>1</v>
      </c>
      <c r="M44" s="7" t="s">
        <v>17</v>
      </c>
      <c r="R44" s="48"/>
      <c r="T44" s="61"/>
    </row>
    <row r="45" spans="1:20" s="5" customFormat="1" ht="25.5" x14ac:dyDescent="0.2">
      <c r="A45" s="28"/>
      <c r="B45" s="130"/>
      <c r="C45" s="140"/>
      <c r="D45" s="130"/>
      <c r="E45" s="142"/>
      <c r="F45" s="130"/>
      <c r="G45" s="130"/>
      <c r="H45" s="130"/>
      <c r="I45" s="130"/>
      <c r="J45" s="41" t="s">
        <v>76</v>
      </c>
      <c r="K45" s="7" t="s">
        <v>73</v>
      </c>
      <c r="L45" s="49">
        <v>4.0720000000000001</v>
      </c>
      <c r="M45" s="7" t="s">
        <v>17</v>
      </c>
      <c r="R45" s="48"/>
      <c r="T45" s="61"/>
    </row>
    <row r="46" spans="1:20" s="5" customFormat="1" ht="25.5" x14ac:dyDescent="0.2">
      <c r="A46" s="28"/>
      <c r="B46" s="130"/>
      <c r="C46" s="140"/>
      <c r="D46" s="130"/>
      <c r="E46" s="142"/>
      <c r="F46" s="130"/>
      <c r="G46" s="130"/>
      <c r="H46" s="130"/>
      <c r="I46" s="130"/>
      <c r="J46" s="41" t="s">
        <v>77</v>
      </c>
      <c r="K46" s="7" t="s">
        <v>27</v>
      </c>
      <c r="L46" s="40">
        <v>7</v>
      </c>
      <c r="M46" s="7" t="s">
        <v>17</v>
      </c>
      <c r="T46" s="61"/>
    </row>
    <row r="47" spans="1:20" s="5" customFormat="1" ht="25.5" x14ac:dyDescent="0.2">
      <c r="A47" s="28"/>
      <c r="B47" s="131"/>
      <c r="C47" s="140"/>
      <c r="D47" s="131"/>
      <c r="E47" s="143"/>
      <c r="F47" s="131"/>
      <c r="G47" s="131"/>
      <c r="H47" s="131"/>
      <c r="I47" s="131"/>
      <c r="J47" s="39" t="s">
        <v>78</v>
      </c>
      <c r="K47" s="7" t="s">
        <v>27</v>
      </c>
      <c r="L47" s="49">
        <v>6.7140000000000004</v>
      </c>
      <c r="M47" s="7" t="s">
        <v>17</v>
      </c>
      <c r="R47" s="48"/>
      <c r="T47" s="61"/>
    </row>
    <row r="48" spans="1:20" s="5" customFormat="1" x14ac:dyDescent="0.2">
      <c r="A48" s="28"/>
      <c r="B48" s="103" t="s">
        <v>80</v>
      </c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4"/>
      <c r="T48" s="61"/>
    </row>
    <row r="49" spans="1:20" s="5" customFormat="1" ht="30.75" customHeight="1" x14ac:dyDescent="0.2">
      <c r="A49" s="28"/>
      <c r="B49" s="129">
        <v>19</v>
      </c>
      <c r="C49" s="140" t="s">
        <v>81</v>
      </c>
      <c r="D49" s="129" t="s">
        <v>73</v>
      </c>
      <c r="E49" s="141">
        <v>42</v>
      </c>
      <c r="F49" s="129"/>
      <c r="G49" s="129"/>
      <c r="H49" s="129"/>
      <c r="I49" s="129"/>
      <c r="J49" s="41" t="s">
        <v>83</v>
      </c>
      <c r="K49" s="7" t="s">
        <v>20</v>
      </c>
      <c r="L49" s="40">
        <v>3</v>
      </c>
      <c r="M49" s="7" t="s">
        <v>17</v>
      </c>
      <c r="R49" s="48"/>
      <c r="T49" s="61"/>
    </row>
    <row r="50" spans="1:20" s="5" customFormat="1" ht="15.75" customHeight="1" x14ac:dyDescent="0.2">
      <c r="A50" s="28"/>
      <c r="B50" s="130"/>
      <c r="C50" s="140"/>
      <c r="D50" s="130"/>
      <c r="E50" s="142"/>
      <c r="F50" s="130"/>
      <c r="G50" s="130"/>
      <c r="H50" s="130"/>
      <c r="I50" s="130"/>
      <c r="J50" s="41" t="s">
        <v>82</v>
      </c>
      <c r="K50" s="7" t="s">
        <v>27</v>
      </c>
      <c r="L50" s="40">
        <f>0.5*E49</f>
        <v>21</v>
      </c>
      <c r="M50" s="7" t="s">
        <v>17</v>
      </c>
      <c r="T50" s="61"/>
    </row>
    <row r="51" spans="1:20" s="5" customFormat="1" ht="42.75" customHeight="1" x14ac:dyDescent="0.2">
      <c r="A51" s="28"/>
      <c r="B51" s="7">
        <v>20</v>
      </c>
      <c r="C51" s="78" t="s">
        <v>86</v>
      </c>
      <c r="D51" s="7" t="s">
        <v>19</v>
      </c>
      <c r="E51" s="40">
        <f>11.5*5.36+4.02*5.48+3.17*5.48+3.99*5.48</f>
        <v>122.9064</v>
      </c>
      <c r="F51" s="7"/>
      <c r="G51" s="7"/>
      <c r="H51" s="7"/>
      <c r="I51" s="7"/>
      <c r="J51" s="39" t="s">
        <v>97</v>
      </c>
      <c r="K51" s="7" t="s">
        <v>27</v>
      </c>
      <c r="L51" s="51">
        <v>82.234970000000004</v>
      </c>
      <c r="M51" s="7" t="s">
        <v>17</v>
      </c>
      <c r="R51" s="48"/>
      <c r="T51" s="61"/>
    </row>
    <row r="52" spans="1:20" s="5" customFormat="1" x14ac:dyDescent="0.2">
      <c r="A52" s="102" t="s">
        <v>87</v>
      </c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4"/>
      <c r="T52" s="61"/>
    </row>
    <row r="53" spans="1:20" s="5" customFormat="1" ht="18.75" customHeight="1" x14ac:dyDescent="0.2">
      <c r="A53" s="30"/>
      <c r="B53" s="18">
        <v>21</v>
      </c>
      <c r="C53" s="78" t="s">
        <v>88</v>
      </c>
      <c r="D53" s="34" t="s">
        <v>2</v>
      </c>
      <c r="E53" s="19">
        <f>3.24*3.03*0.11</f>
        <v>1.0798920000000001</v>
      </c>
      <c r="F53" s="34" t="s">
        <v>15</v>
      </c>
      <c r="G53" s="18" t="s">
        <v>16</v>
      </c>
      <c r="H53" s="19">
        <v>1.4850000000000001</v>
      </c>
      <c r="I53" s="18" t="s">
        <v>15</v>
      </c>
      <c r="J53" s="78"/>
      <c r="K53" s="18"/>
      <c r="L53" s="19"/>
      <c r="M53" s="18"/>
      <c r="T53" s="61"/>
    </row>
    <row r="54" spans="1:20" s="5" customFormat="1" ht="34.5" customHeight="1" x14ac:dyDescent="0.2">
      <c r="A54" s="28"/>
      <c r="B54" s="18">
        <v>22</v>
      </c>
      <c r="C54" s="78" t="s">
        <v>89</v>
      </c>
      <c r="D54" s="34" t="s">
        <v>2</v>
      </c>
      <c r="E54" s="19">
        <f>(3.24+2.86+2.86)*3*0.26</f>
        <v>6.9887999999999995</v>
      </c>
      <c r="F54" s="34" t="s">
        <v>15</v>
      </c>
      <c r="G54" s="18" t="s">
        <v>16</v>
      </c>
      <c r="H54" s="19">
        <f>2.4*E54</f>
        <v>16.773119999999999</v>
      </c>
      <c r="I54" s="18" t="s">
        <v>15</v>
      </c>
      <c r="J54" s="78"/>
      <c r="K54" s="18"/>
      <c r="L54" s="19"/>
      <c r="M54" s="18"/>
      <c r="N54" s="134"/>
      <c r="O54" s="134"/>
      <c r="T54" s="61"/>
    </row>
    <row r="55" spans="1:20" s="5" customFormat="1" ht="42.75" customHeight="1" x14ac:dyDescent="0.2">
      <c r="A55" s="28"/>
      <c r="B55" s="111">
        <v>23</v>
      </c>
      <c r="C55" s="105" t="s">
        <v>31</v>
      </c>
      <c r="D55" s="117" t="s">
        <v>2</v>
      </c>
      <c r="E55" s="119">
        <f>9.6*3*0.12</f>
        <v>3.4559999999999995</v>
      </c>
      <c r="F55" s="114"/>
      <c r="G55" s="132"/>
      <c r="H55" s="135"/>
      <c r="I55" s="132"/>
      <c r="J55" s="27" t="s">
        <v>42</v>
      </c>
      <c r="K55" s="18" t="s">
        <v>104</v>
      </c>
      <c r="L55" s="53">
        <v>1.3148</v>
      </c>
      <c r="M55" s="18" t="s">
        <v>17</v>
      </c>
      <c r="R55" s="48"/>
      <c r="T55" s="61"/>
    </row>
    <row r="56" spans="1:20" s="5" customFormat="1" ht="30.75" customHeight="1" x14ac:dyDescent="0.2">
      <c r="A56" s="28"/>
      <c r="B56" s="112"/>
      <c r="C56" s="106"/>
      <c r="D56" s="122"/>
      <c r="E56" s="120"/>
      <c r="F56" s="115"/>
      <c r="G56" s="137"/>
      <c r="H56" s="138"/>
      <c r="I56" s="137"/>
      <c r="J56" s="27" t="s">
        <v>90</v>
      </c>
      <c r="K56" s="18" t="s">
        <v>105</v>
      </c>
      <c r="L56" s="52">
        <v>13.468</v>
      </c>
      <c r="M56" s="18" t="s">
        <v>17</v>
      </c>
      <c r="R56" s="48"/>
      <c r="T56" s="61"/>
    </row>
    <row r="57" spans="1:20" s="5" customFormat="1" ht="47.25" customHeight="1" x14ac:dyDescent="0.2">
      <c r="A57" s="28"/>
      <c r="B57" s="113"/>
      <c r="C57" s="107"/>
      <c r="D57" s="118"/>
      <c r="E57" s="121"/>
      <c r="F57" s="116"/>
      <c r="G57" s="133"/>
      <c r="H57" s="136"/>
      <c r="I57" s="133"/>
      <c r="J57" s="27" t="s">
        <v>41</v>
      </c>
      <c r="K57" s="18" t="s">
        <v>27</v>
      </c>
      <c r="L57" s="19">
        <f>580.8*0.056*1.1</f>
        <v>35.777280000000005</v>
      </c>
      <c r="M57" s="18" t="s">
        <v>17</v>
      </c>
      <c r="N57" s="33"/>
      <c r="T57" s="61"/>
    </row>
    <row r="58" spans="1:20" s="5" customFormat="1" x14ac:dyDescent="0.2">
      <c r="A58" s="28"/>
      <c r="B58" s="111">
        <v>24</v>
      </c>
      <c r="C58" s="105" t="s">
        <v>34</v>
      </c>
      <c r="D58" s="117" t="s">
        <v>19</v>
      </c>
      <c r="E58" s="119">
        <f>3.12*3.24</f>
        <v>10.1088</v>
      </c>
      <c r="F58" s="114"/>
      <c r="G58" s="132"/>
      <c r="H58" s="135"/>
      <c r="I58" s="132"/>
      <c r="J58" s="27" t="s">
        <v>32</v>
      </c>
      <c r="K58" s="18" t="s">
        <v>2</v>
      </c>
      <c r="L58" s="19">
        <f>E58*0.04*1.1</f>
        <v>0.4447872000000001</v>
      </c>
      <c r="M58" s="18" t="s">
        <v>17</v>
      </c>
      <c r="T58" s="61"/>
    </row>
    <row r="59" spans="1:20" s="5" customFormat="1" x14ac:dyDescent="0.2">
      <c r="A59" s="28"/>
      <c r="B59" s="113"/>
      <c r="C59" s="107"/>
      <c r="D59" s="118"/>
      <c r="E59" s="121"/>
      <c r="F59" s="116"/>
      <c r="G59" s="133"/>
      <c r="H59" s="136"/>
      <c r="I59" s="133"/>
      <c r="J59" s="27" t="s">
        <v>33</v>
      </c>
      <c r="K59" s="18" t="s">
        <v>2</v>
      </c>
      <c r="L59" s="19">
        <f>0.1*0.15*3.25*6*1.1</f>
        <v>0.32174999999999998</v>
      </c>
      <c r="M59" s="18" t="s">
        <v>17</v>
      </c>
      <c r="T59" s="61"/>
    </row>
    <row r="60" spans="1:20" s="5" customFormat="1" ht="14.25" customHeight="1" x14ac:dyDescent="0.2">
      <c r="A60" s="28"/>
      <c r="B60" s="111">
        <v>25</v>
      </c>
      <c r="C60" s="105" t="s">
        <v>46</v>
      </c>
      <c r="D60" s="117" t="s">
        <v>19</v>
      </c>
      <c r="E60" s="119">
        <f>E58+(1.5*3.2)</f>
        <v>14.908800000000001</v>
      </c>
      <c r="F60" s="114"/>
      <c r="G60" s="132"/>
      <c r="H60" s="135"/>
      <c r="I60" s="132"/>
      <c r="J60" s="27" t="s">
        <v>32</v>
      </c>
      <c r="K60" s="18" t="s">
        <v>2</v>
      </c>
      <c r="L60" s="19">
        <f>9*3.5*0.04*0.2*1.1</f>
        <v>0.2772</v>
      </c>
      <c r="M60" s="18" t="s">
        <v>17</v>
      </c>
      <c r="T60" s="61"/>
    </row>
    <row r="61" spans="1:20" s="5" customFormat="1" ht="13.5" customHeight="1" x14ac:dyDescent="0.2">
      <c r="A61" s="28"/>
      <c r="B61" s="112"/>
      <c r="C61" s="106"/>
      <c r="D61" s="122"/>
      <c r="E61" s="120"/>
      <c r="F61" s="115"/>
      <c r="G61" s="137"/>
      <c r="H61" s="138"/>
      <c r="I61" s="137"/>
      <c r="J61" s="27" t="s">
        <v>33</v>
      </c>
      <c r="K61" s="18" t="s">
        <v>2</v>
      </c>
      <c r="L61" s="19">
        <f>0.1*0.15*3.25*6*1.1</f>
        <v>0.32174999999999998</v>
      </c>
      <c r="M61" s="18" t="s">
        <v>17</v>
      </c>
      <c r="T61" s="61"/>
    </row>
    <row r="62" spans="1:20" s="5" customFormat="1" ht="14.25" customHeight="1" x14ac:dyDescent="0.2">
      <c r="A62" s="28"/>
      <c r="B62" s="112"/>
      <c r="C62" s="106"/>
      <c r="D62" s="122"/>
      <c r="E62" s="120"/>
      <c r="F62" s="115"/>
      <c r="G62" s="137"/>
      <c r="H62" s="138"/>
      <c r="I62" s="137"/>
      <c r="J62" s="27" t="s">
        <v>37</v>
      </c>
      <c r="K62" s="18" t="s">
        <v>2</v>
      </c>
      <c r="L62" s="19">
        <f>3.2*0.5*2*0.025*1.1</f>
        <v>8.8000000000000023E-2</v>
      </c>
      <c r="M62" s="18" t="s">
        <v>17</v>
      </c>
      <c r="T62" s="61"/>
    </row>
    <row r="63" spans="1:20" s="5" customFormat="1" ht="14.25" customHeight="1" x14ac:dyDescent="0.2">
      <c r="A63" s="28"/>
      <c r="B63" s="112"/>
      <c r="C63" s="106"/>
      <c r="D63" s="122"/>
      <c r="E63" s="120"/>
      <c r="F63" s="115"/>
      <c r="G63" s="137"/>
      <c r="H63" s="138"/>
      <c r="I63" s="137"/>
      <c r="J63" s="27" t="s">
        <v>47</v>
      </c>
      <c r="K63" s="18" t="s">
        <v>2</v>
      </c>
      <c r="L63" s="19">
        <f>0.05*0.05*7*3.5*1.1</f>
        <v>6.7375000000000018E-2</v>
      </c>
      <c r="M63" s="18" t="s">
        <v>17</v>
      </c>
      <c r="T63" s="61"/>
    </row>
    <row r="64" spans="1:20" s="5" customFormat="1" ht="15.75" customHeight="1" x14ac:dyDescent="0.2">
      <c r="A64" s="28"/>
      <c r="B64" s="112"/>
      <c r="C64" s="106"/>
      <c r="D64" s="122"/>
      <c r="E64" s="120"/>
      <c r="F64" s="115"/>
      <c r="G64" s="137"/>
      <c r="H64" s="138"/>
      <c r="I64" s="137"/>
      <c r="J64" s="27" t="s">
        <v>38</v>
      </c>
      <c r="K64" s="18" t="s">
        <v>19</v>
      </c>
      <c r="L64" s="19">
        <f>E60*1.1</f>
        <v>16.399680000000004</v>
      </c>
      <c r="M64" s="18" t="s">
        <v>17</v>
      </c>
      <c r="T64" s="61"/>
    </row>
    <row r="65" spans="1:20" s="5" customFormat="1" ht="17.25" customHeight="1" x14ac:dyDescent="0.2">
      <c r="A65" s="28"/>
      <c r="B65" s="113"/>
      <c r="C65" s="107"/>
      <c r="D65" s="118"/>
      <c r="E65" s="121"/>
      <c r="F65" s="116"/>
      <c r="G65" s="133"/>
      <c r="H65" s="136"/>
      <c r="I65" s="133"/>
      <c r="J65" s="27" t="s">
        <v>39</v>
      </c>
      <c r="K65" s="18" t="s">
        <v>19</v>
      </c>
      <c r="L65" s="19">
        <f>4.7*0.5*1.1</f>
        <v>2.5850000000000004</v>
      </c>
      <c r="M65" s="18" t="s">
        <v>17</v>
      </c>
      <c r="T65" s="61"/>
    </row>
    <row r="66" spans="1:20" s="5" customFormat="1" ht="25.5" x14ac:dyDescent="0.2">
      <c r="A66" s="28"/>
      <c r="B66" s="18">
        <v>26</v>
      </c>
      <c r="C66" s="78" t="s">
        <v>45</v>
      </c>
      <c r="D66" s="34" t="s">
        <v>20</v>
      </c>
      <c r="E66" s="19">
        <v>1</v>
      </c>
      <c r="F66" s="23"/>
      <c r="G66" s="25"/>
      <c r="H66" s="21"/>
      <c r="I66" s="25"/>
      <c r="J66" s="78" t="s">
        <v>96</v>
      </c>
      <c r="K66" s="18" t="s">
        <v>20</v>
      </c>
      <c r="L66" s="19">
        <v>1</v>
      </c>
      <c r="M66" s="18" t="s">
        <v>17</v>
      </c>
      <c r="T66" s="61"/>
    </row>
    <row r="67" spans="1:20" s="5" customFormat="1" x14ac:dyDescent="0.2">
      <c r="B67" s="108" t="s">
        <v>94</v>
      </c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10"/>
    </row>
    <row r="68" spans="1:20" s="5" customFormat="1" ht="38.25" x14ac:dyDescent="0.2">
      <c r="B68" s="18">
        <v>27</v>
      </c>
      <c r="C68" s="78" t="s">
        <v>93</v>
      </c>
      <c r="D68" s="23" t="s">
        <v>16</v>
      </c>
      <c r="E68" s="21">
        <f>SUM(H53:H54)</f>
        <v>18.258119999999998</v>
      </c>
      <c r="F68" s="11"/>
      <c r="G68" s="11"/>
      <c r="H68" s="11"/>
      <c r="I68" s="18"/>
      <c r="J68" s="78"/>
      <c r="K68" s="23"/>
      <c r="L68" s="22"/>
      <c r="M68" s="23"/>
    </row>
    <row r="69" spans="1:20" ht="25.5" x14ac:dyDescent="0.2">
      <c r="B69" s="18">
        <v>28</v>
      </c>
      <c r="C69" s="78" t="s">
        <v>118</v>
      </c>
      <c r="D69" s="23" t="s">
        <v>16</v>
      </c>
      <c r="E69" s="21">
        <f>E68</f>
        <v>18.258119999999998</v>
      </c>
      <c r="F69" s="11"/>
      <c r="G69" s="11"/>
      <c r="H69" s="11"/>
      <c r="I69" s="11"/>
      <c r="J69" s="78"/>
      <c r="K69" s="23"/>
      <c r="L69" s="19"/>
      <c r="M69" s="23"/>
    </row>
    <row r="70" spans="1:20" ht="54" customHeight="1" x14ac:dyDescent="0.2">
      <c r="B70" s="96" t="s">
        <v>107</v>
      </c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</row>
    <row r="72" spans="1:20" s="5" customFormat="1" x14ac:dyDescent="0.2">
      <c r="A72" s="93" t="s">
        <v>108</v>
      </c>
      <c r="B72" s="93"/>
      <c r="C72" s="93"/>
      <c r="D72" s="93"/>
      <c r="E72" s="56"/>
      <c r="F72" s="68"/>
      <c r="G72" s="68"/>
      <c r="H72" s="57" t="s">
        <v>109</v>
      </c>
      <c r="I72" s="58"/>
      <c r="J72" s="89"/>
      <c r="K72" s="91" t="s">
        <v>110</v>
      </c>
      <c r="L72" s="91"/>
      <c r="M72" s="91"/>
      <c r="S72" s="61"/>
    </row>
    <row r="73" spans="1:20" s="5" customFormat="1" x14ac:dyDescent="0.2">
      <c r="A73" s="60"/>
      <c r="B73" s="56"/>
      <c r="C73" s="60"/>
      <c r="D73" s="57"/>
      <c r="E73" s="68"/>
      <c r="F73" s="68"/>
      <c r="G73" s="68"/>
      <c r="H73" s="60"/>
      <c r="I73" s="62"/>
      <c r="K73" s="60"/>
      <c r="L73" s="60"/>
      <c r="S73" s="61"/>
    </row>
    <row r="74" spans="1:20" s="5" customFormat="1" x14ac:dyDescent="0.2">
      <c r="A74" s="60"/>
      <c r="B74" s="56"/>
      <c r="C74" s="60"/>
      <c r="D74" s="57"/>
      <c r="E74" s="68"/>
      <c r="F74" s="68"/>
      <c r="G74" s="68"/>
      <c r="H74" s="57" t="s">
        <v>112</v>
      </c>
      <c r="I74" s="58"/>
      <c r="J74" s="89"/>
      <c r="K74" s="91" t="s">
        <v>113</v>
      </c>
      <c r="L74" s="91"/>
      <c r="M74" s="91"/>
      <c r="S74" s="61"/>
    </row>
    <row r="75" spans="1:20" s="5" customFormat="1" x14ac:dyDescent="0.2">
      <c r="A75" s="60"/>
      <c r="B75" s="56"/>
      <c r="C75" s="60"/>
      <c r="D75" s="57"/>
      <c r="E75" s="68"/>
      <c r="F75" s="68"/>
      <c r="G75" s="68"/>
      <c r="H75" s="60"/>
      <c r="I75" s="62"/>
      <c r="K75" s="60"/>
      <c r="L75" s="60"/>
      <c r="S75" s="61"/>
    </row>
    <row r="76" spans="1:20" s="5" customFormat="1" x14ac:dyDescent="0.2">
      <c r="A76" s="60"/>
      <c r="B76" s="56"/>
      <c r="C76" s="60"/>
      <c r="D76" s="57"/>
      <c r="E76" s="68"/>
      <c r="F76" s="68"/>
      <c r="G76" s="68"/>
      <c r="H76" s="57" t="s">
        <v>95</v>
      </c>
      <c r="I76" s="58"/>
      <c r="J76" s="89"/>
      <c r="K76" s="92" t="s">
        <v>18</v>
      </c>
      <c r="L76" s="92"/>
      <c r="M76" s="92"/>
      <c r="S76" s="61"/>
    </row>
    <row r="77" spans="1:20" x14ac:dyDescent="0.2">
      <c r="A77" s="60"/>
      <c r="B77" s="56"/>
      <c r="C77" s="60"/>
      <c r="D77" s="57"/>
      <c r="E77" s="68"/>
      <c r="F77" s="68"/>
      <c r="G77" s="68"/>
      <c r="H77" s="60"/>
      <c r="I77" s="62"/>
      <c r="K77" s="60"/>
      <c r="L77" s="60"/>
    </row>
    <row r="78" spans="1:20" x14ac:dyDescent="0.2">
      <c r="A78" s="60"/>
      <c r="B78" s="56"/>
      <c r="C78" s="60"/>
      <c r="D78" s="57"/>
      <c r="E78" s="68"/>
      <c r="F78" s="68"/>
      <c r="G78" s="68"/>
      <c r="H78" s="63" t="s">
        <v>111</v>
      </c>
      <c r="I78" s="58"/>
      <c r="J78" s="89"/>
      <c r="K78" s="91" t="s">
        <v>12</v>
      </c>
      <c r="L78" s="91"/>
      <c r="M78" s="91"/>
    </row>
    <row r="79" spans="1:20" x14ac:dyDescent="0.2">
      <c r="B79" s="59"/>
      <c r="D79" s="64"/>
      <c r="E79" s="59"/>
      <c r="K79" s="65"/>
      <c r="L79" s="59"/>
    </row>
  </sheetData>
  <mergeCells count="75">
    <mergeCell ref="B13:M13"/>
    <mergeCell ref="B48:M48"/>
    <mergeCell ref="B49:B50"/>
    <mergeCell ref="C49:C50"/>
    <mergeCell ref="D49:D50"/>
    <mergeCell ref="E49:E50"/>
    <mergeCell ref="F49:F50"/>
    <mergeCell ref="G49:G50"/>
    <mergeCell ref="H49:H50"/>
    <mergeCell ref="I49:I50"/>
    <mergeCell ref="B37:M37"/>
    <mergeCell ref="B43:M43"/>
    <mergeCell ref="C44:C47"/>
    <mergeCell ref="D44:D47"/>
    <mergeCell ref="E44:E47"/>
    <mergeCell ref="F44:F47"/>
    <mergeCell ref="N54:O54"/>
    <mergeCell ref="E60:E65"/>
    <mergeCell ref="D60:D65"/>
    <mergeCell ref="C60:C65"/>
    <mergeCell ref="I58:I59"/>
    <mergeCell ref="H58:H59"/>
    <mergeCell ref="I60:I65"/>
    <mergeCell ref="H60:H65"/>
    <mergeCell ref="G60:G65"/>
    <mergeCell ref="I55:I57"/>
    <mergeCell ref="F58:F59"/>
    <mergeCell ref="E58:E59"/>
    <mergeCell ref="G55:G57"/>
    <mergeCell ref="H55:H57"/>
    <mergeCell ref="G44:G47"/>
    <mergeCell ref="H44:H47"/>
    <mergeCell ref="I44:I47"/>
    <mergeCell ref="B44:B47"/>
    <mergeCell ref="G58:G59"/>
    <mergeCell ref="B19:M19"/>
    <mergeCell ref="B30:M30"/>
    <mergeCell ref="C32:C35"/>
    <mergeCell ref="D32:D35"/>
    <mergeCell ref="E32:E35"/>
    <mergeCell ref="F32:F35"/>
    <mergeCell ref="G32:G35"/>
    <mergeCell ref="H32:H35"/>
    <mergeCell ref="I32:I35"/>
    <mergeCell ref="B32:B35"/>
    <mergeCell ref="B60:B65"/>
    <mergeCell ref="F60:F65"/>
    <mergeCell ref="D58:D59"/>
    <mergeCell ref="C58:C59"/>
    <mergeCell ref="B55:B57"/>
    <mergeCell ref="F55:F57"/>
    <mergeCell ref="E55:E57"/>
    <mergeCell ref="D55:D57"/>
    <mergeCell ref="B58:B59"/>
    <mergeCell ref="B10:N10"/>
    <mergeCell ref="B7:M7"/>
    <mergeCell ref="B70:M70"/>
    <mergeCell ref="B8:M8"/>
    <mergeCell ref="B11:M11"/>
    <mergeCell ref="B12:M12"/>
    <mergeCell ref="B14:M14"/>
    <mergeCell ref="B16:B17"/>
    <mergeCell ref="C16:C17"/>
    <mergeCell ref="D16:E16"/>
    <mergeCell ref="F16:I16"/>
    <mergeCell ref="J16:M16"/>
    <mergeCell ref="A24:M24"/>
    <mergeCell ref="A52:M52"/>
    <mergeCell ref="C55:C57"/>
    <mergeCell ref="B67:M67"/>
    <mergeCell ref="K72:M72"/>
    <mergeCell ref="K74:M74"/>
    <mergeCell ref="K76:M76"/>
    <mergeCell ref="K78:M78"/>
    <mergeCell ref="A72:D72"/>
  </mergeCells>
  <printOptions horizontalCentered="1"/>
  <pageMargins left="0" right="0" top="1.3385826771653544" bottom="0.39370078740157483" header="0" footer="0"/>
  <pageSetup paperSize="9" scale="8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15" zoomScaleNormal="115" workbookViewId="0">
      <selection sqref="A1:XFD1048576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opLeftCell="A4" workbookViewId="0">
      <selection activeCell="B18" sqref="B18"/>
    </sheetView>
  </sheetViews>
  <sheetFormatPr defaultRowHeight="12.75" x14ac:dyDescent="0.2"/>
  <cols>
    <col min="1" max="1" width="29.42578125" customWidth="1"/>
    <col min="4" max="4" width="15.140625" customWidth="1"/>
    <col min="5" max="5" width="7.5703125" customWidth="1"/>
    <col min="6" max="6" width="10.28515625" customWidth="1"/>
    <col min="7" max="7" width="24.85546875" style="44" customWidth="1"/>
    <col min="8" max="9" width="9.140625" style="44"/>
  </cols>
  <sheetData>
    <row r="1" spans="1:9" ht="63.75" x14ac:dyDescent="0.2">
      <c r="A1" s="144" t="s">
        <v>31</v>
      </c>
      <c r="B1" s="114" t="s">
        <v>2</v>
      </c>
      <c r="C1" s="135">
        <f>9.6*3*0.12</f>
        <v>3.4559999999999995</v>
      </c>
      <c r="D1" s="27" t="s">
        <v>42</v>
      </c>
      <c r="E1" s="25" t="s">
        <v>2</v>
      </c>
      <c r="F1" s="21">
        <f>C1*1.1</f>
        <v>3.8015999999999996</v>
      </c>
      <c r="G1" s="29"/>
      <c r="H1" s="24"/>
      <c r="I1" s="24"/>
    </row>
    <row r="2" spans="1:9" ht="48" x14ac:dyDescent="0.2">
      <c r="A2" s="146"/>
      <c r="B2" s="115"/>
      <c r="C2" s="138"/>
      <c r="D2" s="27" t="s">
        <v>90</v>
      </c>
      <c r="E2" s="25" t="s">
        <v>20</v>
      </c>
      <c r="F2" s="21">
        <v>2</v>
      </c>
      <c r="G2" s="29"/>
      <c r="H2" s="24"/>
      <c r="I2" s="24"/>
    </row>
    <row r="3" spans="1:9" ht="89.25" x14ac:dyDescent="0.2">
      <c r="A3" s="145"/>
      <c r="B3" s="116"/>
      <c r="C3" s="136"/>
      <c r="D3" s="27" t="s">
        <v>41</v>
      </c>
      <c r="E3" s="25" t="s">
        <v>27</v>
      </c>
      <c r="F3" s="21">
        <f>580.8*0.056*1.1</f>
        <v>35.777280000000005</v>
      </c>
      <c r="G3" s="42" t="s">
        <v>44</v>
      </c>
      <c r="H3" s="35">
        <v>5.6000000000000001E-2</v>
      </c>
      <c r="I3" s="35" t="s">
        <v>43</v>
      </c>
    </row>
    <row r="4" spans="1:9" ht="25.5" x14ac:dyDescent="0.2">
      <c r="A4" s="144" t="s">
        <v>34</v>
      </c>
      <c r="B4" s="114" t="s">
        <v>19</v>
      </c>
      <c r="C4" s="135">
        <f>3.12*3.24</f>
        <v>10.1088</v>
      </c>
      <c r="D4" s="27" t="s">
        <v>32</v>
      </c>
      <c r="E4" s="25" t="s">
        <v>2</v>
      </c>
      <c r="F4" s="21">
        <f>C4*0.04*1.1</f>
        <v>0.4447872000000001</v>
      </c>
      <c r="G4" s="29"/>
      <c r="H4" s="24"/>
      <c r="I4" s="24"/>
    </row>
    <row r="5" spans="1:9" ht="25.5" x14ac:dyDescent="0.2">
      <c r="A5" s="145"/>
      <c r="B5" s="116"/>
      <c r="C5" s="136"/>
      <c r="D5" s="27" t="s">
        <v>33</v>
      </c>
      <c r="E5" s="25" t="s">
        <v>2</v>
      </c>
      <c r="F5" s="21">
        <f>0.1*0.15*3.25*6*1.1</f>
        <v>0.32174999999999998</v>
      </c>
      <c r="G5" s="29"/>
      <c r="H5" s="24"/>
      <c r="I5" s="24"/>
    </row>
    <row r="6" spans="1:9" ht="25.5" x14ac:dyDescent="0.2">
      <c r="A6" s="144" t="s">
        <v>46</v>
      </c>
      <c r="B6" s="114" t="s">
        <v>19</v>
      </c>
      <c r="C6" s="135">
        <f>C4+(1.5*3.2)</f>
        <v>14.908800000000001</v>
      </c>
      <c r="D6" s="27" t="s">
        <v>32</v>
      </c>
      <c r="E6" s="25" t="s">
        <v>2</v>
      </c>
      <c r="F6" s="21">
        <f>9*3.5*0.04*0.2*1.1</f>
        <v>0.2772</v>
      </c>
      <c r="G6" s="43" t="s">
        <v>35</v>
      </c>
      <c r="H6" s="24"/>
      <c r="I6" s="24"/>
    </row>
    <row r="7" spans="1:9" ht="25.5" x14ac:dyDescent="0.2">
      <c r="A7" s="146"/>
      <c r="B7" s="115"/>
      <c r="C7" s="138"/>
      <c r="D7" s="27" t="s">
        <v>33</v>
      </c>
      <c r="E7" s="25" t="s">
        <v>2</v>
      </c>
      <c r="F7" s="21">
        <f>0.1*0.15*3.25*6*1.1</f>
        <v>0.32174999999999998</v>
      </c>
      <c r="G7" s="43" t="s">
        <v>36</v>
      </c>
      <c r="H7" s="24"/>
      <c r="I7" s="24"/>
    </row>
    <row r="8" spans="1:9" ht="25.5" x14ac:dyDescent="0.2">
      <c r="A8" s="146"/>
      <c r="B8" s="115"/>
      <c r="C8" s="138"/>
      <c r="D8" s="27" t="s">
        <v>37</v>
      </c>
      <c r="E8" s="25" t="s">
        <v>2</v>
      </c>
      <c r="F8" s="21">
        <f>3.2*0.5*2*0.025*1.1</f>
        <v>8.8000000000000023E-2</v>
      </c>
      <c r="G8" s="147" t="s">
        <v>92</v>
      </c>
      <c r="H8" s="148"/>
      <c r="I8" s="149"/>
    </row>
    <row r="9" spans="1:9" ht="25.5" x14ac:dyDescent="0.2">
      <c r="A9" s="146"/>
      <c r="B9" s="115"/>
      <c r="C9" s="138"/>
      <c r="D9" s="27" t="s">
        <v>47</v>
      </c>
      <c r="E9" s="25" t="s">
        <v>2</v>
      </c>
      <c r="F9" s="21">
        <f>0.05*0.05*7*3.5*1.1</f>
        <v>6.7375000000000018E-2</v>
      </c>
      <c r="G9" s="147" t="s">
        <v>48</v>
      </c>
      <c r="H9" s="148"/>
      <c r="I9" s="149"/>
    </row>
    <row r="10" spans="1:9" x14ac:dyDescent="0.2">
      <c r="A10" s="146"/>
      <c r="B10" s="115"/>
      <c r="C10" s="138"/>
      <c r="D10" s="27" t="s">
        <v>38</v>
      </c>
      <c r="E10" s="25" t="s">
        <v>19</v>
      </c>
      <c r="F10" s="21">
        <f>C6*1.1</f>
        <v>16.399680000000004</v>
      </c>
      <c r="G10" s="32"/>
      <c r="H10" s="32"/>
      <c r="I10" s="32"/>
    </row>
    <row r="11" spans="1:9" ht="38.25" x14ac:dyDescent="0.2">
      <c r="A11" s="145"/>
      <c r="B11" s="116"/>
      <c r="C11" s="136"/>
      <c r="D11" s="27" t="s">
        <v>39</v>
      </c>
      <c r="E11" s="25" t="s">
        <v>19</v>
      </c>
      <c r="F11" s="21">
        <f>4.7*0.5*1.1</f>
        <v>2.5850000000000004</v>
      </c>
      <c r="G11" s="147" t="s">
        <v>40</v>
      </c>
      <c r="H11" s="148"/>
      <c r="I11" s="149"/>
    </row>
    <row r="12" spans="1:9" ht="49.5" x14ac:dyDescent="0.2">
      <c r="A12" s="27" t="s">
        <v>45</v>
      </c>
      <c r="B12" s="23" t="s">
        <v>20</v>
      </c>
      <c r="C12" s="21">
        <v>1</v>
      </c>
      <c r="D12" s="27" t="s">
        <v>91</v>
      </c>
      <c r="E12" s="25" t="s">
        <v>20</v>
      </c>
      <c r="F12" s="21">
        <v>1</v>
      </c>
      <c r="G12" s="32"/>
      <c r="H12" s="32"/>
      <c r="I12" s="32"/>
    </row>
  </sheetData>
  <mergeCells count="12">
    <mergeCell ref="G8:I8"/>
    <mergeCell ref="G9:I9"/>
    <mergeCell ref="G11:I11"/>
    <mergeCell ref="A6:A11"/>
    <mergeCell ref="B6:B11"/>
    <mergeCell ref="C6:C11"/>
    <mergeCell ref="A4:A5"/>
    <mergeCell ref="B4:B5"/>
    <mergeCell ref="C4:C5"/>
    <mergeCell ref="A1:A3"/>
    <mergeCell ref="B1:B3"/>
    <mergeCell ref="C1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ДВ</vt:lpstr>
      <vt:lpstr>маршрут на полигон отходов</vt:lpstr>
      <vt:lpstr>Лист1</vt:lpstr>
      <vt:lpstr>ДВ!Заголовки_для_печати</vt:lpstr>
      <vt:lpstr>ДВ!Область_печати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 Галина Михайловна</dc:creator>
  <cp:lastModifiedBy>Strekalovskaya Kristina</cp:lastModifiedBy>
  <cp:lastPrinted>2023-07-10T02:45:15Z</cp:lastPrinted>
  <dcterms:created xsi:type="dcterms:W3CDTF">2002-02-11T05:58:42Z</dcterms:created>
  <dcterms:modified xsi:type="dcterms:W3CDTF">2023-07-24T02:41:56Z</dcterms:modified>
</cp:coreProperties>
</file>